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7935" activeTab="2"/>
  </bookViews>
  <sheets>
    <sheet name="Slab" sheetId="1" r:id="rId1"/>
    <sheet name="Sheet2" sheetId="2" r:id="rId2"/>
    <sheet name="Sheet3" sheetId="3" r:id="rId3"/>
    <sheet name="with firecess" sheetId="4" r:id="rId4"/>
  </sheets>
  <definedNames/>
  <calcPr fullCalcOnLoad="1"/>
</workbook>
</file>

<file path=xl/sharedStrings.xml><?xml version="1.0" encoding="utf-8"?>
<sst xmlns="http://schemas.openxmlformats.org/spreadsheetml/2006/main" count="143" uniqueCount="61">
  <si>
    <t>Residential</t>
  </si>
  <si>
    <t>-</t>
  </si>
  <si>
    <t>Cost of Land</t>
  </si>
  <si>
    <t>Sr.
No</t>
  </si>
  <si>
    <t>Construction Type Rate (CTR)
Pacca - 500, 
Half Pacca- 300, 
Kachha- 100</t>
  </si>
  <si>
    <t>Building
Construction
Value
(BCV)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</si>
  <si>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</si>
  <si>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</si>
  <si>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</si>
  <si>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</si>
  <si>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</si>
  <si>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</si>
  <si>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</si>
  <si>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</si>
  <si>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</si>
  <si>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</si>
  <si>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</si>
  <si>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Total
Value </t>
  </si>
  <si>
    <t>Collector 
Rate</t>
  </si>
  <si>
    <t>Ratable Value
 (ARV)</t>
  </si>
  <si>
    <t>Commercial</t>
  </si>
  <si>
    <t>SELF OCCUPIED</t>
  </si>
  <si>
    <t>NON SELF OCCUPIED</t>
  </si>
  <si>
    <t>Building 
Covered 
Area 
Sq.FT</t>
  </si>
  <si>
    <t>Residential
100 To 500
(0.5%)</t>
  </si>
  <si>
    <t>Residential 
Above 500
(1%)</t>
  </si>
  <si>
    <t>Commercial
(3%)</t>
  </si>
  <si>
    <t>Educational
Institute
(1.5%)</t>
  </si>
  <si>
    <t>Area in 
Sq.yard</t>
  </si>
  <si>
    <t>B</t>
  </si>
  <si>
    <t>Vaccant
Plot
(0.20% 
of 
Cost of Land</t>
  </si>
  <si>
    <t>Rented
Resi</t>
  </si>
  <si>
    <t>Rented
Comm</t>
  </si>
  <si>
    <t>M</t>
  </si>
  <si>
    <t>N</t>
  </si>
  <si>
    <t>O</t>
  </si>
  <si>
    <t>P</t>
  </si>
  <si>
    <t>Depreciation 
(Deprc) on 
Building 
Construction Value</t>
  </si>
  <si>
    <t>Net Value
of Building
After 
Depreciation</t>
  </si>
  <si>
    <t>Self Commercial</t>
  </si>
  <si>
    <t>Property On Rent</t>
  </si>
  <si>
    <t>Tax Payable</t>
  </si>
  <si>
    <t>Yearly Rent</t>
  </si>
  <si>
    <r>
      <t xml:space="preserve">Residential
</t>
    </r>
    <r>
      <rPr>
        <b/>
        <sz val="14"/>
        <color indexed="17"/>
        <rFont val="Calibri"/>
        <family val="2"/>
      </rPr>
      <t>100 To 500</t>
    </r>
    <r>
      <rPr>
        <sz val="12"/>
        <color indexed="8"/>
        <rFont val="Calibri"/>
        <family val="2"/>
      </rPr>
      <t xml:space="preserve"> Sq.Yd</t>
    </r>
  </si>
  <si>
    <r>
      <t xml:space="preserve">Residential
</t>
    </r>
    <r>
      <rPr>
        <b/>
        <sz val="14"/>
        <color indexed="17"/>
        <rFont val="Calibri"/>
        <family val="2"/>
      </rPr>
      <t>Aboce 500</t>
    </r>
    <r>
      <rPr>
        <sz val="12"/>
        <color indexed="8"/>
        <rFont val="Calibri"/>
        <family val="2"/>
      </rPr>
      <t xml:space="preserve"> Sq.Yd</t>
    </r>
  </si>
  <si>
    <t xml:space="preserve">Educational  </t>
  </si>
  <si>
    <t xml:space="preserve">Vaccant Plot </t>
  </si>
  <si>
    <t>Tax
%</t>
  </si>
  <si>
    <t>After 
30-Nov-13</t>
  </si>
  <si>
    <t>Before 
30-Nov-13</t>
  </si>
  <si>
    <t>Property Tax</t>
  </si>
  <si>
    <t>Fire Cess</t>
  </si>
  <si>
    <t>Basement-1</t>
  </si>
  <si>
    <t>Basement-2</t>
  </si>
  <si>
    <t>Ground Floor</t>
  </si>
  <si>
    <t>Upper Ground Floor</t>
  </si>
  <si>
    <t>Lower Ground Floor</t>
  </si>
  <si>
    <t>First Floor</t>
  </si>
  <si>
    <t>Second Floor</t>
  </si>
  <si>
    <t>Third Floor</t>
  </si>
  <si>
    <t>Indutry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</si>
</sst>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7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12" borderId="0" xfId="0" applyFont="1" applyFill="1" applyAlignment="1" applyProtection="1">
      <alignment horizontal="center" vertical="top" wrapText="1"/>
      <protection/>
    </xf>
    <xf numFmtId="0" fontId="7" fillId="33" borderId="10" xfId="0" applyFont="1" applyFill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10" fontId="5" fillId="34" borderId="10" xfId="0" applyNumberFormat="1" applyFont="1" applyFill="1" applyBorder="1" applyAlignment="1" applyProtection="1">
      <alignment horizontal="right" vertical="top" wrapText="1"/>
      <protection/>
    </xf>
    <xf numFmtId="1" fontId="9" fillId="0" borderId="10" xfId="0" applyNumberFormat="1" applyFont="1" applyBorder="1" applyAlignment="1" applyProtection="1">
      <alignment horizontal="center" vertical="top" wrapText="1"/>
      <protection locked="0"/>
    </xf>
    <xf numFmtId="2" fontId="9" fillId="0" borderId="10" xfId="0" applyNumberFormat="1" applyFont="1" applyBorder="1" applyAlignment="1" applyProtection="1">
      <alignment horizontal="center" vertical="top" wrapText="1"/>
      <protection locked="0"/>
    </xf>
    <xf numFmtId="2" fontId="9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1" fontId="11" fillId="34" borderId="10" xfId="0" applyNumberFormat="1" applyFont="1" applyFill="1" applyBorder="1" applyAlignment="1" applyProtection="1">
      <alignment horizontal="right" vertical="top" wrapText="1"/>
      <protection/>
    </xf>
    <xf numFmtId="1" fontId="11" fillId="36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9" fontId="5" fillId="34" borderId="10" xfId="0" applyNumberFormat="1" applyFont="1" applyFill="1" applyBorder="1" applyAlignment="1" applyProtection="1">
      <alignment horizontal="right" vertical="top" wrapText="1"/>
      <protection/>
    </xf>
    <xf numFmtId="0" fontId="12" fillId="34" borderId="10" xfId="0" applyFont="1" applyFill="1" applyBorder="1" applyAlignment="1" applyProtection="1">
      <alignment horizontal="left" vertical="top" wrapText="1"/>
      <protection/>
    </xf>
    <xf numFmtId="9" fontId="13" fillId="34" borderId="10" xfId="0" applyNumberFormat="1" applyFont="1" applyFill="1" applyBorder="1" applyAlignment="1" applyProtection="1">
      <alignment horizontal="right" vertical="top" wrapText="1"/>
      <protection/>
    </xf>
    <xf numFmtId="10" fontId="13" fillId="34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34" borderId="10" xfId="0" applyFont="1" applyFill="1" applyBorder="1" applyAlignment="1" applyProtection="1">
      <alignment horizontal="center" vertical="top" wrapText="1"/>
      <protection/>
    </xf>
    <xf numFmtId="0" fontId="6" fillId="34" borderId="11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5" fillId="10" borderId="10" xfId="0" applyFont="1" applyFill="1" applyBorder="1" applyAlignment="1" applyProtection="1">
      <alignment horizontal="center" vertical="top" wrapText="1"/>
      <protection/>
    </xf>
    <xf numFmtId="1" fontId="11" fillId="37" borderId="10" xfId="0" applyNumberFormat="1" applyFont="1" applyFill="1" applyBorder="1" applyAlignment="1" applyProtection="1">
      <alignment horizontal="right" vertical="top" wrapText="1"/>
      <protection/>
    </xf>
    <xf numFmtId="0" fontId="14" fillId="0" borderId="12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top" wrapText="1"/>
      <protection/>
    </xf>
    <xf numFmtId="0" fontId="14" fillId="38" borderId="11" xfId="0" applyFont="1" applyFill="1" applyBorder="1" applyAlignment="1" applyProtection="1">
      <alignment vertical="top" wrapText="1"/>
      <protection/>
    </xf>
    <xf numFmtId="0" fontId="14" fillId="38" borderId="13" xfId="0" applyFont="1" applyFill="1" applyBorder="1" applyAlignment="1" applyProtection="1">
      <alignment vertical="top" wrapText="1"/>
      <protection/>
    </xf>
    <xf numFmtId="2" fontId="2" fillId="34" borderId="10" xfId="0" applyNumberFormat="1" applyFont="1" applyFill="1" applyBorder="1" applyAlignment="1" applyProtection="1">
      <alignment horizontal="center" vertical="top" wrapText="1"/>
      <protection/>
    </xf>
    <xf numFmtId="9" fontId="6" fillId="0" borderId="0" xfId="0" applyNumberFormat="1" applyFont="1" applyAlignment="1" applyProtection="1">
      <alignment horizontal="center" vertical="top" wrapText="1"/>
      <protection/>
    </xf>
    <xf numFmtId="9" fontId="6" fillId="0" borderId="0" xfId="0" applyNumberFormat="1" applyFont="1" applyAlignment="1" applyProtection="1">
      <alignment vertical="top" wrapText="1"/>
      <protection/>
    </xf>
    <xf numFmtId="0" fontId="9" fillId="35" borderId="11" xfId="0" applyFont="1" applyFill="1" applyBorder="1" applyAlignment="1" applyProtection="1">
      <alignment horizontal="center" vertical="top" wrapText="1"/>
      <protection locked="0"/>
    </xf>
    <xf numFmtId="0" fontId="9" fillId="35" borderId="14" xfId="0" applyFont="1" applyFill="1" applyBorder="1" applyAlignment="1" applyProtection="1">
      <alignment horizontal="center" vertical="top" wrapText="1"/>
      <protection locked="0"/>
    </xf>
    <xf numFmtId="0" fontId="9" fillId="35" borderId="13" xfId="0" applyFont="1" applyFill="1" applyBorder="1" applyAlignment="1" applyProtection="1">
      <alignment horizontal="center" vertical="top" wrapText="1"/>
      <protection locked="0"/>
    </xf>
    <xf numFmtId="0" fontId="14" fillId="38" borderId="11" xfId="0" applyFont="1" applyFill="1" applyBorder="1" applyAlignment="1" applyProtection="1">
      <alignment horizontal="center" vertical="top" wrapText="1"/>
      <protection/>
    </xf>
    <xf numFmtId="0" fontId="14" fillId="38" borderId="13" xfId="0" applyFont="1" applyFill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10" fillId="33" borderId="11" xfId="0" applyFont="1" applyFill="1" applyBorder="1" applyAlignment="1" applyProtection="1">
      <alignment horizontal="center" vertical="top" wrapText="1"/>
      <protection/>
    </xf>
    <xf numFmtId="0" fontId="10" fillId="33" borderId="14" xfId="0" applyFont="1" applyFill="1" applyBorder="1" applyAlignment="1" applyProtection="1">
      <alignment horizontal="center" vertical="top" wrapText="1"/>
      <protection/>
    </xf>
    <xf numFmtId="0" fontId="10" fillId="33" borderId="13" xfId="0" applyFont="1" applyFill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/>
  <cols>
    <col min="1" max="1" width="19.00390625" style="42" customWidth="1"/>
    <col min="2" max="2" width="5.28125" style="42" bestFit="1" customWidth="1"/>
    <col min="3" max="3" width="6.28125" style="42" customWidth="1"/>
    <col min="4" max="4" width="9.57421875" style="42" bestFit="1" customWidth="1"/>
    <col min="5" max="5" width="13.8515625" style="42" customWidth="1"/>
    <col min="6" max="6" width="10.140625" style="42" bestFit="1" customWidth="1"/>
    <col min="7" max="7" width="9.7109375" style="42" bestFit="1" customWidth="1"/>
    <col min="8" max="8" width="12.421875" style="42" customWidth="1"/>
    <col min="9" max="9" width="11.7109375" style="42" customWidth="1"/>
    <col min="10" max="10" width="13.57421875" style="42" customWidth="1"/>
    <col min="11" max="11" width="13.28125" style="42" customWidth="1"/>
    <col min="12" max="12" width="13.140625" style="42" customWidth="1"/>
    <col min="13" max="13" width="11.00390625" style="42" bestFit="1" customWidth="1"/>
    <col min="14" max="14" width="13.421875" style="42" customWidth="1"/>
    <col min="15" max="15" width="11.00390625" style="42" customWidth="1"/>
    <col min="16" max="16" width="11.00390625" style="42" bestFit="1" customWidth="1"/>
    <col min="17" max="17" width="11.00390625" style="42" customWidth="1"/>
    <col min="18" max="18" width="10.421875" style="42" customWidth="1"/>
    <col min="19" max="19" width="10.7109375" style="42" customWidth="1"/>
    <col min="20" max="20" width="6.00390625" style="42" hidden="1" customWidth="1"/>
    <col min="21" max="16384" width="9.140625" style="42" customWidth="1"/>
  </cols>
  <sheetData>
    <row r="1" spans="1:16" s="20" customFormat="1" ht="84">
      <c r="A1" s="6" t="s">
        <v>3</v>
      </c>
      <c r="B1" s="6" t="s">
        <v>47</v>
      </c>
      <c r="C1" s="6" t="s">
        <v>28</v>
      </c>
      <c r="D1" s="6" t="s">
        <v>18</v>
      </c>
      <c r="E1" s="6" t="s">
        <v>2</v>
      </c>
      <c r="F1" s="6" t="s">
        <v>23</v>
      </c>
      <c r="G1" s="6" t="s">
        <v>4</v>
      </c>
      <c r="H1" s="6" t="s">
        <v>5</v>
      </c>
      <c r="I1" s="6" t="s">
        <v>37</v>
      </c>
      <c r="J1" s="6" t="s">
        <v>38</v>
      </c>
      <c r="K1" s="6" t="s">
        <v>17</v>
      </c>
      <c r="L1" s="6" t="s">
        <v>19</v>
      </c>
      <c r="M1" s="58" t="s">
        <v>41</v>
      </c>
      <c r="N1" s="59"/>
      <c r="O1" s="59"/>
      <c r="P1" s="60"/>
    </row>
    <row r="2" spans="1:16" s="20" customFormat="1" ht="31.5" customHeight="1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43">
        <v>10</v>
      </c>
      <c r="K2" s="6">
        <v>11</v>
      </c>
      <c r="L2" s="6">
        <v>12</v>
      </c>
      <c r="M2" s="21" t="s">
        <v>50</v>
      </c>
      <c r="N2" s="22" t="s">
        <v>51</v>
      </c>
      <c r="O2" s="22" t="s">
        <v>48</v>
      </c>
      <c r="P2" s="22" t="s">
        <v>49</v>
      </c>
    </row>
    <row r="3" spans="1:16" s="20" customFormat="1" ht="18.7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3"/>
      <c r="O3" s="23"/>
      <c r="P3" s="24"/>
    </row>
    <row r="4" spans="1:16" s="33" customFormat="1" ht="37.5" customHeight="1">
      <c r="A4" s="25" t="s">
        <v>43</v>
      </c>
      <c r="B4" s="26">
        <v>0.005</v>
      </c>
      <c r="C4" s="27">
        <v>237</v>
      </c>
      <c r="D4" s="28">
        <v>18000</v>
      </c>
      <c r="E4" s="49">
        <f aca="true" t="shared" si="0" ref="E4:E9">C4*D4</f>
        <v>4266000</v>
      </c>
      <c r="F4" s="29">
        <v>4000</v>
      </c>
      <c r="G4" s="30">
        <v>500</v>
      </c>
      <c r="H4" s="49">
        <f aca="true" t="shared" si="1" ref="H4:H9">F4*G4</f>
        <v>2000000</v>
      </c>
      <c r="I4" s="49">
        <f aca="true" t="shared" si="2" ref="I4:I9">H4*10/100</f>
        <v>200000</v>
      </c>
      <c r="J4" s="49">
        <f aca="true" t="shared" si="3" ref="J4:J9">H4-I4</f>
        <v>1800000</v>
      </c>
      <c r="K4" s="49">
        <f aca="true" t="shared" si="4" ref="K4:K9">E4+J4</f>
        <v>6066000</v>
      </c>
      <c r="L4" s="49">
        <f aca="true" t="shared" si="5" ref="L4:L9">K4*5/100</f>
        <v>303300</v>
      </c>
      <c r="M4" s="31">
        <f>L4*0.5/100</f>
        <v>1516.5</v>
      </c>
      <c r="N4" s="31">
        <f>5/100*M4</f>
        <v>75.825</v>
      </c>
      <c r="O4" s="44">
        <f>M4+N4</f>
        <v>1592.325</v>
      </c>
      <c r="P4" s="32">
        <f>M4-(M4*10/100)+N4</f>
        <v>1440.675</v>
      </c>
    </row>
    <row r="5" spans="1:16" s="33" customFormat="1" ht="37.5" customHeight="1">
      <c r="A5" s="25" t="s">
        <v>44</v>
      </c>
      <c r="B5" s="34">
        <v>0.01</v>
      </c>
      <c r="C5" s="27">
        <v>1400</v>
      </c>
      <c r="D5" s="28">
        <v>24000</v>
      </c>
      <c r="E5" s="49">
        <f t="shared" si="0"/>
        <v>33600000</v>
      </c>
      <c r="F5" s="29">
        <v>2300</v>
      </c>
      <c r="G5" s="30">
        <v>500</v>
      </c>
      <c r="H5" s="49">
        <f t="shared" si="1"/>
        <v>1150000</v>
      </c>
      <c r="I5" s="49">
        <f t="shared" si="2"/>
        <v>115000</v>
      </c>
      <c r="J5" s="49">
        <f t="shared" si="3"/>
        <v>1035000</v>
      </c>
      <c r="K5" s="49">
        <f t="shared" si="4"/>
        <v>34635000</v>
      </c>
      <c r="L5" s="49">
        <f t="shared" si="5"/>
        <v>1731750</v>
      </c>
      <c r="M5" s="31">
        <f>L5*1/100</f>
        <v>17317.5</v>
      </c>
      <c r="N5" s="31">
        <f>5/100*M5</f>
        <v>865.875</v>
      </c>
      <c r="O5" s="44">
        <f aca="true" t="shared" si="6" ref="O5:O11">M5+N5</f>
        <v>18183.375</v>
      </c>
      <c r="P5" s="32">
        <f aca="true" t="shared" si="7" ref="P5:P11">M5-(M5*10/100)+N5</f>
        <v>16451.625</v>
      </c>
    </row>
    <row r="6" spans="1:16" s="33" customFormat="1" ht="37.5" customHeight="1">
      <c r="A6" s="35" t="s">
        <v>60</v>
      </c>
      <c r="B6" s="37">
        <v>0.015</v>
      </c>
      <c r="C6" s="27">
        <v>243.33</v>
      </c>
      <c r="D6" s="28">
        <v>12000</v>
      </c>
      <c r="E6" s="49">
        <f t="shared" si="0"/>
        <v>2919960</v>
      </c>
      <c r="F6" s="29">
        <v>3800</v>
      </c>
      <c r="G6" s="30">
        <v>500</v>
      </c>
      <c r="H6" s="49">
        <f t="shared" si="1"/>
        <v>1900000</v>
      </c>
      <c r="I6" s="49">
        <f t="shared" si="2"/>
        <v>190000</v>
      </c>
      <c r="J6" s="49">
        <f t="shared" si="3"/>
        <v>1710000</v>
      </c>
      <c r="K6" s="49">
        <f t="shared" si="4"/>
        <v>4629960</v>
      </c>
      <c r="L6" s="49">
        <f t="shared" si="5"/>
        <v>231498</v>
      </c>
      <c r="M6" s="31">
        <f>L6*1.5/100</f>
        <v>3472.47</v>
      </c>
      <c r="N6" s="31">
        <f>5/100*M6</f>
        <v>173.6235</v>
      </c>
      <c r="O6" s="44">
        <f>M6+N6</f>
        <v>3646.0935</v>
      </c>
      <c r="P6" s="32">
        <f>M6-(M6*10/100)+N6</f>
        <v>3298.8465</v>
      </c>
    </row>
    <row r="7" spans="1:16" s="33" customFormat="1" ht="37.5" customHeight="1">
      <c r="A7" s="35" t="s">
        <v>39</v>
      </c>
      <c r="B7" s="36">
        <v>0.03</v>
      </c>
      <c r="C7" s="27">
        <v>70.2</v>
      </c>
      <c r="D7" s="28">
        <v>52800</v>
      </c>
      <c r="E7" s="49">
        <f t="shared" si="0"/>
        <v>3706560</v>
      </c>
      <c r="F7" s="29">
        <v>1700</v>
      </c>
      <c r="G7" s="30">
        <v>500</v>
      </c>
      <c r="H7" s="49">
        <f t="shared" si="1"/>
        <v>850000</v>
      </c>
      <c r="I7" s="49">
        <f t="shared" si="2"/>
        <v>85000</v>
      </c>
      <c r="J7" s="49">
        <f t="shared" si="3"/>
        <v>765000</v>
      </c>
      <c r="K7" s="49">
        <f t="shared" si="4"/>
        <v>4471560</v>
      </c>
      <c r="L7" s="49">
        <f t="shared" si="5"/>
        <v>223578</v>
      </c>
      <c r="M7" s="31">
        <f>L7*3/100</f>
        <v>6707.34</v>
      </c>
      <c r="N7" s="31">
        <f>5/100*M7</f>
        <v>335.367</v>
      </c>
      <c r="O7" s="44">
        <f t="shared" si="6"/>
        <v>7042.707</v>
      </c>
      <c r="P7" s="32">
        <f t="shared" si="7"/>
        <v>6371.973</v>
      </c>
    </row>
    <row r="8" spans="1:20" s="33" customFormat="1" ht="37.5" customHeight="1">
      <c r="A8" s="35" t="s">
        <v>45</v>
      </c>
      <c r="B8" s="37">
        <v>0.015</v>
      </c>
      <c r="C8" s="27">
        <v>62.08</v>
      </c>
      <c r="D8" s="28">
        <v>5000</v>
      </c>
      <c r="E8" s="49">
        <f t="shared" si="0"/>
        <v>310400</v>
      </c>
      <c r="F8" s="29">
        <v>1800</v>
      </c>
      <c r="G8" s="30">
        <v>500</v>
      </c>
      <c r="H8" s="49">
        <f t="shared" si="1"/>
        <v>900000</v>
      </c>
      <c r="I8" s="49">
        <f t="shared" si="2"/>
        <v>90000</v>
      </c>
      <c r="J8" s="49">
        <f t="shared" si="3"/>
        <v>810000</v>
      </c>
      <c r="K8" s="49">
        <f t="shared" si="4"/>
        <v>1120400</v>
      </c>
      <c r="L8" s="49">
        <f t="shared" si="5"/>
        <v>56020</v>
      </c>
      <c r="M8" s="31">
        <f>L8*1.5/100</f>
        <v>840.3</v>
      </c>
      <c r="N8" s="31">
        <f>5/100*M8</f>
        <v>42.015</v>
      </c>
      <c r="O8" s="44">
        <f t="shared" si="6"/>
        <v>882.3149999999999</v>
      </c>
      <c r="P8" s="32">
        <f t="shared" si="7"/>
        <v>798.285</v>
      </c>
      <c r="Q8" s="38"/>
      <c r="R8" s="38"/>
      <c r="S8" s="38"/>
      <c r="T8" s="38"/>
    </row>
    <row r="9" spans="1:20" s="33" customFormat="1" ht="37.5" customHeight="1">
      <c r="A9" s="35" t="s">
        <v>46</v>
      </c>
      <c r="B9" s="37">
        <v>0.002</v>
      </c>
      <c r="C9" s="27">
        <v>400</v>
      </c>
      <c r="D9" s="28">
        <v>4000</v>
      </c>
      <c r="E9" s="49">
        <f t="shared" si="0"/>
        <v>1600000</v>
      </c>
      <c r="F9" s="29">
        <v>0</v>
      </c>
      <c r="G9" s="30">
        <v>500</v>
      </c>
      <c r="H9" s="49">
        <f t="shared" si="1"/>
        <v>0</v>
      </c>
      <c r="I9" s="49">
        <f t="shared" si="2"/>
        <v>0</v>
      </c>
      <c r="J9" s="49">
        <f t="shared" si="3"/>
        <v>0</v>
      </c>
      <c r="K9" s="49">
        <f t="shared" si="4"/>
        <v>1600000</v>
      </c>
      <c r="L9" s="49">
        <f t="shared" si="5"/>
        <v>80000</v>
      </c>
      <c r="M9" s="31">
        <f>T9*0.2/100</f>
        <v>160</v>
      </c>
      <c r="N9" s="31">
        <v>0</v>
      </c>
      <c r="O9" s="44">
        <f t="shared" si="6"/>
        <v>160</v>
      </c>
      <c r="P9" s="32">
        <f t="shared" si="7"/>
        <v>144</v>
      </c>
      <c r="Q9" s="38"/>
      <c r="R9" s="38"/>
      <c r="S9" s="38"/>
      <c r="T9" s="38">
        <f>((E9*5)/100)</f>
        <v>80000</v>
      </c>
    </row>
    <row r="10" spans="1:19" s="33" customFormat="1" ht="18.75" customHeight="1">
      <c r="A10" s="45" t="s">
        <v>40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1"/>
      <c r="N10" s="31"/>
      <c r="O10" s="44"/>
      <c r="P10" s="32"/>
      <c r="Q10" s="46"/>
      <c r="R10" s="46"/>
      <c r="S10" s="46"/>
    </row>
    <row r="11" spans="1:16" s="33" customFormat="1" ht="31.5" customHeight="1">
      <c r="A11" s="39" t="s">
        <v>42</v>
      </c>
      <c r="B11" s="40"/>
      <c r="C11" s="52">
        <v>48000</v>
      </c>
      <c r="D11" s="53"/>
      <c r="E11" s="54"/>
      <c r="F11" s="39" t="s">
        <v>0</v>
      </c>
      <c r="G11" s="55">
        <f>C11*3/100</f>
        <v>1440</v>
      </c>
      <c r="H11" s="56"/>
      <c r="I11" s="39" t="s">
        <v>20</v>
      </c>
      <c r="J11" s="47">
        <f>C11*10/100</f>
        <v>4800</v>
      </c>
      <c r="K11" s="48"/>
      <c r="M11" s="31">
        <f>J11</f>
        <v>4800</v>
      </c>
      <c r="N11" s="31">
        <f>5/100*M11</f>
        <v>240</v>
      </c>
      <c r="O11" s="44">
        <f t="shared" si="6"/>
        <v>5040</v>
      </c>
      <c r="P11" s="32">
        <f t="shared" si="7"/>
        <v>4560</v>
      </c>
    </row>
    <row r="12" s="33" customFormat="1" ht="12"/>
    <row r="13" spans="4:9" s="33" customFormat="1" ht="12">
      <c r="D13" s="33">
        <v>26400</v>
      </c>
      <c r="H13" s="33">
        <f>1440+72</f>
        <v>1512</v>
      </c>
      <c r="I13" s="33">
        <f>H13*9</f>
        <v>13608</v>
      </c>
    </row>
    <row r="14" s="33" customFormat="1" ht="12">
      <c r="H14" s="33">
        <f>53+144</f>
        <v>197</v>
      </c>
    </row>
    <row r="15" spans="1:12" s="33" customFormat="1" ht="15">
      <c r="A15" s="41" t="s">
        <v>52</v>
      </c>
      <c r="D15" s="50">
        <v>0.2</v>
      </c>
      <c r="E15" s="33">
        <f>20%*D13</f>
        <v>5280</v>
      </c>
      <c r="H15" s="33">
        <f>559+1512-197</f>
        <v>1874</v>
      </c>
      <c r="I15" s="33">
        <f>133*9</f>
        <v>1197</v>
      </c>
      <c r="L15" s="33">
        <f>15*17</f>
        <v>255</v>
      </c>
    </row>
    <row r="16" spans="1:5" s="33" customFormat="1" ht="12">
      <c r="A16" s="33" t="s">
        <v>53</v>
      </c>
      <c r="D16" s="50">
        <v>0.2</v>
      </c>
      <c r="E16" s="33">
        <f>20%*D13</f>
        <v>5280</v>
      </c>
    </row>
    <row r="17" spans="1:11" s="33" customFormat="1" ht="12">
      <c r="A17" s="33" t="s">
        <v>54</v>
      </c>
      <c r="D17" s="50">
        <v>1</v>
      </c>
      <c r="E17" s="33">
        <f>100%*D13</f>
        <v>26400</v>
      </c>
      <c r="J17" s="33">
        <f>243.33*9-255</f>
        <v>1934.9700000000003</v>
      </c>
      <c r="K17" s="33">
        <f>525-52</f>
        <v>473</v>
      </c>
    </row>
    <row r="18" spans="1:11" ht="12">
      <c r="A18" s="42" t="s">
        <v>55</v>
      </c>
      <c r="D18" s="51">
        <v>0.75</v>
      </c>
      <c r="E18" s="33">
        <f>75%*D13</f>
        <v>19800</v>
      </c>
      <c r="K18" s="42">
        <f>2400+120-240</f>
        <v>2280</v>
      </c>
    </row>
    <row r="19" spans="1:9" ht="12">
      <c r="A19" s="42" t="s">
        <v>56</v>
      </c>
      <c r="D19" s="51">
        <v>0.75</v>
      </c>
      <c r="E19" s="33">
        <f>75%*D13</f>
        <v>19800</v>
      </c>
      <c r="I19" s="42">
        <f>42*9</f>
        <v>378</v>
      </c>
    </row>
    <row r="20" spans="1:10" ht="12">
      <c r="A20" s="42" t="s">
        <v>57</v>
      </c>
      <c r="D20" s="50">
        <v>0.6</v>
      </c>
      <c r="E20" s="33">
        <f>60%*D13</f>
        <v>15840</v>
      </c>
      <c r="F20" s="33"/>
      <c r="J20" s="42">
        <f>462-46</f>
        <v>416</v>
      </c>
    </row>
    <row r="21" spans="1:7" ht="12">
      <c r="A21" s="42" t="s">
        <v>58</v>
      </c>
      <c r="D21" s="51">
        <v>0.3</v>
      </c>
      <c r="E21" s="33">
        <f>30%*D13</f>
        <v>7920</v>
      </c>
      <c r="G21" s="42">
        <f>97.55*9</f>
        <v>877.9499999999999</v>
      </c>
    </row>
    <row r="22" spans="1:5" ht="12">
      <c r="A22" s="42" t="s">
        <v>59</v>
      </c>
      <c r="D22" s="51">
        <v>0.3</v>
      </c>
      <c r="E22" s="33">
        <f>30%*D13</f>
        <v>7920</v>
      </c>
    </row>
    <row r="23" ht="12">
      <c r="G23" s="42">
        <f>36000-3600+1800</f>
        <v>34200</v>
      </c>
    </row>
  </sheetData>
  <sheetProtection/>
  <mergeCells count="4">
    <mergeCell ref="C11:E11"/>
    <mergeCell ref="G11:H11"/>
    <mergeCell ref="A3:M3"/>
    <mergeCell ref="M1:P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.00390625" style="5" bestFit="1" customWidth="1"/>
    <col min="2" max="2" width="6.28125" style="5" bestFit="1" customWidth="1"/>
    <col min="3" max="3" width="7.00390625" style="5" customWidth="1"/>
    <col min="4" max="4" width="12.140625" style="5" customWidth="1"/>
    <col min="5" max="5" width="13.28125" style="5" customWidth="1"/>
    <col min="6" max="6" width="7.57421875" style="5" customWidth="1"/>
    <col min="7" max="7" width="9.8515625" style="5" customWidth="1"/>
    <col min="8" max="8" width="12.140625" style="5" customWidth="1"/>
    <col min="9" max="9" width="10.00390625" style="5" customWidth="1"/>
    <col min="10" max="10" width="12.421875" style="5" customWidth="1"/>
    <col min="11" max="11" width="19.7109375" style="5" bestFit="1" customWidth="1"/>
    <col min="12" max="12" width="10.00390625" style="5" bestFit="1" customWidth="1"/>
    <col min="13" max="13" width="10.57421875" style="5" customWidth="1"/>
    <col min="14" max="14" width="11.00390625" style="5" customWidth="1"/>
    <col min="15" max="15" width="10.421875" style="5" customWidth="1"/>
    <col min="16" max="16" width="10.7109375" style="5" customWidth="1"/>
    <col min="17" max="17" width="1.57421875" style="5" customWidth="1"/>
    <col min="18" max="16384" width="9.140625" style="5" customWidth="1"/>
  </cols>
  <sheetData>
    <row r="1" spans="1:16" s="1" customFormat="1" ht="132">
      <c r="A1" s="6" t="s">
        <v>3</v>
      </c>
      <c r="B1" s="6" t="s">
        <v>28</v>
      </c>
      <c r="C1" s="6" t="s">
        <v>18</v>
      </c>
      <c r="D1" s="7" t="s">
        <v>2</v>
      </c>
      <c r="E1" s="6" t="s">
        <v>23</v>
      </c>
      <c r="F1" s="6" t="s">
        <v>4</v>
      </c>
      <c r="G1" s="6" t="s">
        <v>5</v>
      </c>
      <c r="H1" s="6" t="s">
        <v>37</v>
      </c>
      <c r="I1" s="6" t="s">
        <v>38</v>
      </c>
      <c r="J1" s="6" t="s">
        <v>17</v>
      </c>
      <c r="K1" s="6" t="s">
        <v>19</v>
      </c>
      <c r="L1" s="6" t="s">
        <v>24</v>
      </c>
      <c r="M1" s="11" t="s">
        <v>25</v>
      </c>
      <c r="N1" s="11" t="s">
        <v>26</v>
      </c>
      <c r="O1" s="11" t="s">
        <v>27</v>
      </c>
      <c r="P1" s="11" t="s">
        <v>30</v>
      </c>
    </row>
    <row r="2" spans="1:16" s="2" customFormat="1" ht="12">
      <c r="A2" s="8" t="s">
        <v>6</v>
      </c>
      <c r="B2" s="8" t="s">
        <v>29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8" t="s">
        <v>16</v>
      </c>
      <c r="M2" s="12" t="s">
        <v>33</v>
      </c>
      <c r="N2" s="12" t="s">
        <v>34</v>
      </c>
      <c r="O2" s="12" t="s">
        <v>35</v>
      </c>
      <c r="P2" s="12" t="s">
        <v>36</v>
      </c>
    </row>
    <row r="3" spans="1:16" s="2" customFormat="1" ht="18.75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3"/>
      <c r="N3" s="13"/>
      <c r="O3" s="13"/>
      <c r="P3" s="13"/>
    </row>
    <row r="4" spans="1:17" s="4" customFormat="1" ht="33.75" customHeight="1">
      <c r="A4" s="9">
        <v>1</v>
      </c>
      <c r="B4" s="15">
        <v>100</v>
      </c>
      <c r="C4" s="15">
        <v>10000</v>
      </c>
      <c r="D4" s="10">
        <f>B4*C4</f>
        <v>1000000</v>
      </c>
      <c r="E4" s="16">
        <v>1800</v>
      </c>
      <c r="F4" s="3">
        <v>500</v>
      </c>
      <c r="G4" s="10">
        <f>E4*F4</f>
        <v>900000</v>
      </c>
      <c r="H4" s="10">
        <f>G4*10/100</f>
        <v>90000</v>
      </c>
      <c r="I4" s="10">
        <f>G4-H4</f>
        <v>810000</v>
      </c>
      <c r="J4" s="10">
        <f>D4+I4</f>
        <v>1810000</v>
      </c>
      <c r="K4" s="10">
        <f>J4*5/100</f>
        <v>90500</v>
      </c>
      <c r="L4" s="14">
        <f>K4*0.5/100</f>
        <v>452.5</v>
      </c>
      <c r="M4" s="14">
        <f>K4*1/100</f>
        <v>905</v>
      </c>
      <c r="N4" s="14">
        <f>K4*3/100</f>
        <v>2715</v>
      </c>
      <c r="O4" s="14">
        <f>K4*1.5/100</f>
        <v>1357.5</v>
      </c>
      <c r="P4" s="14">
        <f>(Q4*0.2)/100</f>
        <v>100</v>
      </c>
      <c r="Q4" s="4">
        <f>((D4*5)/100)</f>
        <v>50000</v>
      </c>
    </row>
    <row r="5" spans="1:16" s="4" customFormat="1" ht="18.75">
      <c r="A5" s="62" t="s">
        <v>22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5" s="4" customFormat="1" ht="37.5" customHeight="1">
      <c r="A6" s="9">
        <v>2</v>
      </c>
      <c r="B6" s="9" t="s">
        <v>1</v>
      </c>
      <c r="C6" s="9" t="s">
        <v>1</v>
      </c>
      <c r="D6" s="9" t="s">
        <v>1</v>
      </c>
      <c r="E6" s="9"/>
      <c r="F6" s="9" t="s">
        <v>1</v>
      </c>
      <c r="G6" s="9" t="s">
        <v>1</v>
      </c>
      <c r="H6" s="9" t="s">
        <v>1</v>
      </c>
      <c r="I6" s="9" t="s">
        <v>1</v>
      </c>
      <c r="J6" s="9" t="s">
        <v>1</v>
      </c>
      <c r="K6" s="17">
        <v>120000</v>
      </c>
      <c r="L6" s="18" t="s">
        <v>31</v>
      </c>
      <c r="M6" s="19">
        <f>K6*7.5/100</f>
        <v>9000</v>
      </c>
      <c r="N6" s="18" t="s">
        <v>32</v>
      </c>
      <c r="O6" s="19">
        <f>K6*10/100</f>
        <v>12000</v>
      </c>
    </row>
    <row r="7" s="4" customFormat="1" ht="33.75" customHeight="1"/>
    <row r="8" s="4" customFormat="1" ht="33.75" customHeight="1"/>
    <row r="9" s="4" customFormat="1" ht="33.75" customHeight="1"/>
    <row r="10" s="4" customFormat="1" ht="33.75" customHeight="1"/>
  </sheetData>
  <sheetProtection/>
  <mergeCells count="2">
    <mergeCell ref="A3:L3"/>
    <mergeCell ref="A5:P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2">
      <selection activeCell="G7" sqref="G7"/>
    </sheetView>
  </sheetViews>
  <sheetFormatPr defaultColWidth="9.140625" defaultRowHeight="15"/>
  <cols>
    <col min="1" max="1" width="19.00390625" style="42" customWidth="1"/>
    <col min="2" max="2" width="5.28125" style="42" bestFit="1" customWidth="1"/>
    <col min="3" max="3" width="8.140625" style="42" customWidth="1"/>
    <col min="4" max="4" width="11.8515625" style="42" customWidth="1"/>
    <col min="5" max="5" width="13.8515625" style="42" customWidth="1"/>
    <col min="6" max="6" width="10.140625" style="42" bestFit="1" customWidth="1"/>
    <col min="7" max="7" width="8.28125" style="42" customWidth="1"/>
    <col min="8" max="8" width="16.57421875" style="42" customWidth="1"/>
    <col min="9" max="9" width="11.7109375" style="42" hidden="1" customWidth="1"/>
    <col min="10" max="10" width="13.57421875" style="42" customWidth="1"/>
    <col min="11" max="11" width="15.8515625" style="42" customWidth="1"/>
    <col min="12" max="12" width="13.140625" style="42" customWidth="1"/>
    <col min="13" max="13" width="11.00390625" style="42" bestFit="1" customWidth="1"/>
    <col min="14" max="14" width="10.00390625" style="42" customWidth="1"/>
    <col min="15" max="15" width="11.00390625" style="42" customWidth="1"/>
    <col min="16" max="16" width="11.00390625" style="42" bestFit="1" customWidth="1"/>
    <col min="17" max="17" width="11.00390625" style="42" customWidth="1"/>
    <col min="18" max="18" width="10.421875" style="42" customWidth="1"/>
    <col min="19" max="19" width="10.7109375" style="42" customWidth="1"/>
    <col min="20" max="20" width="6.00390625" style="42" hidden="1" customWidth="1"/>
    <col min="21" max="16384" width="9.140625" style="42" customWidth="1"/>
  </cols>
  <sheetData>
    <row r="1" spans="1:16" s="20" customFormat="1" ht="132">
      <c r="A1" s="6" t="s">
        <v>3</v>
      </c>
      <c r="B1" s="6" t="s">
        <v>47</v>
      </c>
      <c r="C1" s="6" t="s">
        <v>28</v>
      </c>
      <c r="D1" s="6" t="s">
        <v>18</v>
      </c>
      <c r="E1" s="6" t="s">
        <v>2</v>
      </c>
      <c r="F1" s="6" t="s">
        <v>23</v>
      </c>
      <c r="G1" s="6" t="s">
        <v>4</v>
      </c>
      <c r="H1" s="6" t="s">
        <v>5</v>
      </c>
      <c r="I1" s="6" t="s">
        <v>37</v>
      </c>
      <c r="J1" s="6" t="s">
        <v>38</v>
      </c>
      <c r="K1" s="6" t="s">
        <v>17</v>
      </c>
      <c r="L1" s="6" t="s">
        <v>19</v>
      </c>
      <c r="M1" s="58" t="s">
        <v>41</v>
      </c>
      <c r="N1" s="59"/>
      <c r="O1" s="59"/>
      <c r="P1" s="60"/>
    </row>
    <row r="2" spans="1:16" s="20" customFormat="1" ht="31.5" customHeight="1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43">
        <v>10</v>
      </c>
      <c r="K2" s="6">
        <v>11</v>
      </c>
      <c r="L2" s="6">
        <v>12</v>
      </c>
      <c r="M2" s="21" t="s">
        <v>50</v>
      </c>
      <c r="N2" s="22" t="s">
        <v>51</v>
      </c>
      <c r="O2" s="22" t="s">
        <v>48</v>
      </c>
      <c r="P2" s="22" t="s">
        <v>49</v>
      </c>
    </row>
    <row r="3" spans="1:16" s="20" customFormat="1" ht="18.7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3"/>
      <c r="O3" s="23"/>
      <c r="P3" s="24"/>
    </row>
    <row r="4" spans="1:16" s="33" customFormat="1" ht="37.5" customHeight="1">
      <c r="A4" s="25" t="s">
        <v>43</v>
      </c>
      <c r="B4" s="26">
        <v>0.005</v>
      </c>
      <c r="C4" s="27">
        <v>85</v>
      </c>
      <c r="D4" s="28">
        <v>10560</v>
      </c>
      <c r="E4" s="49">
        <f aca="true" t="shared" si="0" ref="E4:E9">C4*D4</f>
        <v>897600</v>
      </c>
      <c r="F4" s="29">
        <v>1148</v>
      </c>
      <c r="G4" s="30">
        <v>500</v>
      </c>
      <c r="H4" s="49">
        <f aca="true" t="shared" si="1" ref="H4:H9">F4*G4</f>
        <v>574000</v>
      </c>
      <c r="I4" s="49">
        <f aca="true" t="shared" si="2" ref="I4:I9">H4*10/100</f>
        <v>57400</v>
      </c>
      <c r="J4" s="49">
        <f aca="true" t="shared" si="3" ref="J4:J9">H4-I4</f>
        <v>516600</v>
      </c>
      <c r="K4" s="49">
        <f aca="true" t="shared" si="4" ref="K4:K9">E4+J4</f>
        <v>1414200</v>
      </c>
      <c r="L4" s="49">
        <f aca="true" t="shared" si="5" ref="L4:L9">K4*5/100</f>
        <v>70710</v>
      </c>
      <c r="M4" s="31">
        <f>L4*0.5/100</f>
        <v>353.55</v>
      </c>
      <c r="N4" s="31">
        <f>5/100*M4</f>
        <v>17.677500000000002</v>
      </c>
      <c r="O4" s="44">
        <f>M4+N4</f>
        <v>371.2275</v>
      </c>
      <c r="P4" s="32">
        <f>M4-(M4*10/100)+N4</f>
        <v>335.8725</v>
      </c>
    </row>
    <row r="5" spans="1:16" s="33" customFormat="1" ht="37.5" customHeight="1">
      <c r="A5" s="25" t="s">
        <v>44</v>
      </c>
      <c r="B5" s="34">
        <v>0.01</v>
      </c>
      <c r="C5" s="27">
        <v>1100</v>
      </c>
      <c r="D5" s="28">
        <v>26400</v>
      </c>
      <c r="E5" s="49">
        <f t="shared" si="0"/>
        <v>29040000</v>
      </c>
      <c r="F5" s="29">
        <v>5300</v>
      </c>
      <c r="G5" s="30">
        <v>500</v>
      </c>
      <c r="H5" s="49">
        <f t="shared" si="1"/>
        <v>2650000</v>
      </c>
      <c r="I5" s="49">
        <f t="shared" si="2"/>
        <v>265000</v>
      </c>
      <c r="J5" s="49">
        <f t="shared" si="3"/>
        <v>2385000</v>
      </c>
      <c r="K5" s="49">
        <f t="shared" si="4"/>
        <v>31425000</v>
      </c>
      <c r="L5" s="49">
        <f t="shared" si="5"/>
        <v>1571250</v>
      </c>
      <c r="M5" s="31">
        <f>L5*1/100</f>
        <v>15712.5</v>
      </c>
      <c r="N5" s="31">
        <f>5/100*M5</f>
        <v>785.625</v>
      </c>
      <c r="O5" s="44">
        <f aca="true" t="shared" si="6" ref="O5:O11">M5+N5</f>
        <v>16498.125</v>
      </c>
      <c r="P5" s="32">
        <f aca="true" t="shared" si="7" ref="P5:P11">M5-(M5*10/100)+N5</f>
        <v>14926.875</v>
      </c>
    </row>
    <row r="6" spans="1:16" s="33" customFormat="1" ht="37.5" customHeight="1">
      <c r="A6" s="35" t="s">
        <v>60</v>
      </c>
      <c r="B6" s="37">
        <v>0.015</v>
      </c>
      <c r="C6" s="27">
        <v>18875</v>
      </c>
      <c r="D6" s="28">
        <v>11700</v>
      </c>
      <c r="E6" s="49">
        <f t="shared" si="0"/>
        <v>220837500</v>
      </c>
      <c r="F6" s="29">
        <v>64</v>
      </c>
      <c r="G6" s="30">
        <v>500</v>
      </c>
      <c r="H6" s="49">
        <f t="shared" si="1"/>
        <v>32000</v>
      </c>
      <c r="I6" s="49">
        <f t="shared" si="2"/>
        <v>3200</v>
      </c>
      <c r="J6" s="49">
        <f t="shared" si="3"/>
        <v>28800</v>
      </c>
      <c r="K6" s="49">
        <f t="shared" si="4"/>
        <v>220866300</v>
      </c>
      <c r="L6" s="49">
        <f t="shared" si="5"/>
        <v>11043315</v>
      </c>
      <c r="M6" s="31">
        <f>L6*1.5/100</f>
        <v>165649.725</v>
      </c>
      <c r="N6" s="31">
        <f>5/100*M6</f>
        <v>8282.48625</v>
      </c>
      <c r="O6" s="44">
        <f>M6+N6</f>
        <v>173932.21125</v>
      </c>
      <c r="P6" s="32">
        <f>M6-(M6*10/100)+N6</f>
        <v>157367.23875</v>
      </c>
    </row>
    <row r="7" spans="1:16" s="33" customFormat="1" ht="37.5" customHeight="1">
      <c r="A7" s="35" t="s">
        <v>39</v>
      </c>
      <c r="B7" s="36">
        <v>0.03</v>
      </c>
      <c r="C7" s="27">
        <v>24</v>
      </c>
      <c r="D7" s="28">
        <v>15600</v>
      </c>
      <c r="E7" s="49">
        <f t="shared" si="0"/>
        <v>374400</v>
      </c>
      <c r="F7" s="29">
        <v>432</v>
      </c>
      <c r="G7" s="30">
        <v>500</v>
      </c>
      <c r="H7" s="49">
        <f t="shared" si="1"/>
        <v>216000</v>
      </c>
      <c r="I7" s="49">
        <f t="shared" si="2"/>
        <v>21600</v>
      </c>
      <c r="J7" s="49">
        <f t="shared" si="3"/>
        <v>194400</v>
      </c>
      <c r="K7" s="49">
        <f t="shared" si="4"/>
        <v>568800</v>
      </c>
      <c r="L7" s="49">
        <f t="shared" si="5"/>
        <v>28440</v>
      </c>
      <c r="M7" s="31">
        <f>L7*3/100</f>
        <v>853.2</v>
      </c>
      <c r="N7" s="31">
        <f>5/100*M7</f>
        <v>42.660000000000004</v>
      </c>
      <c r="O7" s="44">
        <f t="shared" si="6"/>
        <v>895.86</v>
      </c>
      <c r="P7" s="32">
        <f t="shared" si="7"/>
        <v>810.5400000000001</v>
      </c>
    </row>
    <row r="8" spans="1:20" s="33" customFormat="1" ht="37.5" customHeight="1">
      <c r="A8" s="35" t="s">
        <v>45</v>
      </c>
      <c r="B8" s="37">
        <v>0.015</v>
      </c>
      <c r="C8" s="27">
        <v>603</v>
      </c>
      <c r="D8" s="28">
        <v>6050</v>
      </c>
      <c r="E8" s="49">
        <f t="shared" si="0"/>
        <v>3648150</v>
      </c>
      <c r="F8" s="29">
        <v>4050</v>
      </c>
      <c r="G8" s="30">
        <v>500</v>
      </c>
      <c r="H8" s="49">
        <f t="shared" si="1"/>
        <v>2025000</v>
      </c>
      <c r="I8" s="49">
        <f t="shared" si="2"/>
        <v>202500</v>
      </c>
      <c r="J8" s="49">
        <f t="shared" si="3"/>
        <v>1822500</v>
      </c>
      <c r="K8" s="49">
        <f t="shared" si="4"/>
        <v>5470650</v>
      </c>
      <c r="L8" s="49">
        <f t="shared" si="5"/>
        <v>273532.5</v>
      </c>
      <c r="M8" s="31">
        <f>L8*1.5/100</f>
        <v>4102.9875</v>
      </c>
      <c r="N8" s="31">
        <f>5/100*M8</f>
        <v>205.14937500000002</v>
      </c>
      <c r="O8" s="44">
        <f t="shared" si="6"/>
        <v>4308.136875</v>
      </c>
      <c r="P8" s="32">
        <f t="shared" si="7"/>
        <v>3897.838125</v>
      </c>
      <c r="Q8" s="38"/>
      <c r="R8" s="38"/>
      <c r="S8" s="38"/>
      <c r="T8" s="38"/>
    </row>
    <row r="9" spans="1:20" s="33" customFormat="1" ht="37.5" customHeight="1">
      <c r="A9" s="35" t="s">
        <v>46</v>
      </c>
      <c r="B9" s="37">
        <v>0.002</v>
      </c>
      <c r="C9" s="27">
        <v>100</v>
      </c>
      <c r="D9" s="28">
        <v>5200</v>
      </c>
      <c r="E9" s="49">
        <f t="shared" si="0"/>
        <v>520000</v>
      </c>
      <c r="F9" s="29">
        <v>100</v>
      </c>
      <c r="G9" s="30">
        <v>500</v>
      </c>
      <c r="H9" s="49">
        <f t="shared" si="1"/>
        <v>50000</v>
      </c>
      <c r="I9" s="49">
        <f t="shared" si="2"/>
        <v>5000</v>
      </c>
      <c r="J9" s="49">
        <f t="shared" si="3"/>
        <v>45000</v>
      </c>
      <c r="K9" s="49">
        <f t="shared" si="4"/>
        <v>565000</v>
      </c>
      <c r="L9" s="49">
        <f t="shared" si="5"/>
        <v>28250</v>
      </c>
      <c r="M9" s="31">
        <f>T9*0.2/100</f>
        <v>52</v>
      </c>
      <c r="N9" s="31">
        <v>0</v>
      </c>
      <c r="O9" s="44">
        <f t="shared" si="6"/>
        <v>52</v>
      </c>
      <c r="P9" s="32">
        <f t="shared" si="7"/>
        <v>46.8</v>
      </c>
      <c r="Q9" s="38"/>
      <c r="R9" s="38"/>
      <c r="S9" s="38"/>
      <c r="T9" s="38">
        <f>((E9*5)/100)</f>
        <v>26000</v>
      </c>
    </row>
    <row r="10" spans="1:19" s="33" customFormat="1" ht="18.75" customHeight="1">
      <c r="A10" s="45" t="s">
        <v>40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1"/>
      <c r="N10" s="31"/>
      <c r="O10" s="44"/>
      <c r="P10" s="32"/>
      <c r="Q10" s="46"/>
      <c r="R10" s="46"/>
      <c r="S10" s="46"/>
    </row>
    <row r="11" spans="1:16" s="33" customFormat="1" ht="31.5" customHeight="1">
      <c r="A11" s="39" t="s">
        <v>42</v>
      </c>
      <c r="B11" s="40"/>
      <c r="C11" s="52">
        <f>11000*12</f>
        <v>132000</v>
      </c>
      <c r="D11" s="53"/>
      <c r="E11" s="54"/>
      <c r="F11" s="39" t="s">
        <v>0</v>
      </c>
      <c r="G11" s="55">
        <f>C11*3/100</f>
        <v>3960</v>
      </c>
      <c r="H11" s="56"/>
      <c r="I11" s="39" t="s">
        <v>20</v>
      </c>
      <c r="J11" s="47">
        <f>C11*10/100</f>
        <v>13200</v>
      </c>
      <c r="K11" s="48"/>
      <c r="M11" s="31">
        <f>J11</f>
        <v>13200</v>
      </c>
      <c r="N11" s="31">
        <f>5/100*M11</f>
        <v>660</v>
      </c>
      <c r="O11" s="44">
        <f t="shared" si="6"/>
        <v>13860</v>
      </c>
      <c r="P11" s="32">
        <f t="shared" si="7"/>
        <v>12540</v>
      </c>
    </row>
    <row r="12" s="33" customFormat="1" ht="12"/>
    <row r="13" spans="4:11" s="33" customFormat="1" ht="12">
      <c r="D13" s="33">
        <v>26400</v>
      </c>
      <c r="G13" s="33">
        <f>1950*12</f>
        <v>23400</v>
      </c>
      <c r="H13" s="33">
        <f>214.8*9</f>
        <v>1933.2</v>
      </c>
      <c r="J13" s="33">
        <f>37*9</f>
        <v>333</v>
      </c>
      <c r="K13" s="33">
        <f>95*2*9</f>
        <v>1710</v>
      </c>
    </row>
    <row r="14" spans="8:12" s="33" customFormat="1" ht="12">
      <c r="H14" s="33">
        <f>4036-1089</f>
        <v>2947</v>
      </c>
      <c r="I14" s="33">
        <f>480/9</f>
        <v>53.333333333333336</v>
      </c>
      <c r="J14" s="33">
        <f>306-53</f>
        <v>253</v>
      </c>
      <c r="K14" s="33">
        <f>298+1214</f>
        <v>1512</v>
      </c>
      <c r="L14" s="33">
        <f>347+7864</f>
        <v>8211</v>
      </c>
    </row>
    <row r="15" spans="1:15" s="33" customFormat="1" ht="15">
      <c r="A15" s="41" t="s">
        <v>52</v>
      </c>
      <c r="D15" s="50">
        <v>0.2</v>
      </c>
      <c r="E15" s="33">
        <f>20%*D13</f>
        <v>5280</v>
      </c>
      <c r="F15" s="33">
        <f>168/9</f>
        <v>18.666666666666668</v>
      </c>
      <c r="G15" s="33">
        <f>3.6*12</f>
        <v>43.2</v>
      </c>
      <c r="H15" s="33">
        <f>21.52*9</f>
        <v>193.68</v>
      </c>
      <c r="I15" s="33">
        <f>630*12</f>
        <v>7560</v>
      </c>
      <c r="J15" s="33">
        <f>36*9</f>
        <v>324</v>
      </c>
      <c r="M15" s="33">
        <f>13329+898+18-1423</f>
        <v>12822</v>
      </c>
      <c r="O15" s="33">
        <f>10252+4841+230</f>
        <v>15323</v>
      </c>
    </row>
    <row r="16" spans="1:15" s="33" customFormat="1" ht="12">
      <c r="A16" s="33" t="s">
        <v>53</v>
      </c>
      <c r="D16" s="50">
        <v>0.2</v>
      </c>
      <c r="E16" s="33">
        <f>20%*D13</f>
        <v>5280</v>
      </c>
      <c r="K16" s="33">
        <f>44*75</f>
        <v>3300</v>
      </c>
      <c r="O16" s="33">
        <v>230</v>
      </c>
    </row>
    <row r="17" spans="1:12" s="33" customFormat="1" ht="12">
      <c r="A17" s="33" t="s">
        <v>54</v>
      </c>
      <c r="D17" s="50">
        <v>1</v>
      </c>
      <c r="E17" s="33">
        <f>100%*D13</f>
        <v>26400</v>
      </c>
      <c r="H17" s="33">
        <f>6372+1442</f>
        <v>7814</v>
      </c>
      <c r="I17" s="33">
        <f>18875*40/100</f>
        <v>7550</v>
      </c>
      <c r="J17" s="33">
        <f>7550*9</f>
        <v>67950</v>
      </c>
      <c r="L17" s="33">
        <f>70000*300</f>
        <v>21000000</v>
      </c>
    </row>
    <row r="18" spans="1:12" ht="12">
      <c r="A18" s="42" t="s">
        <v>55</v>
      </c>
      <c r="D18" s="51">
        <v>0.75</v>
      </c>
      <c r="E18" s="33">
        <f>75%*D13</f>
        <v>19800</v>
      </c>
      <c r="G18" s="42">
        <f>15600*75/100</f>
        <v>11700</v>
      </c>
      <c r="L18" s="42">
        <f>20000*500</f>
        <v>10000000</v>
      </c>
    </row>
    <row r="19" spans="1:13" ht="12">
      <c r="A19" s="42" t="s">
        <v>56</v>
      </c>
      <c r="D19" s="51">
        <v>0.75</v>
      </c>
      <c r="E19" s="33">
        <f>75%*D13</f>
        <v>19800</v>
      </c>
      <c r="L19" s="42">
        <f>SUM(L17:L18)</f>
        <v>31000000</v>
      </c>
      <c r="M19" s="42">
        <f>31000000-3100000</f>
        <v>27900000</v>
      </c>
    </row>
    <row r="20" spans="1:6" ht="12">
      <c r="A20" s="42" t="s">
        <v>57</v>
      </c>
      <c r="D20" s="50">
        <v>0.6</v>
      </c>
      <c r="E20" s="33">
        <f>60%*D13</f>
        <v>15840</v>
      </c>
      <c r="F20" s="33"/>
    </row>
    <row r="21" spans="1:5" ht="12">
      <c r="A21" s="42" t="s">
        <v>58</v>
      </c>
      <c r="D21" s="51">
        <v>0.3</v>
      </c>
      <c r="E21" s="33">
        <f>30%*D13</f>
        <v>7920</v>
      </c>
    </row>
    <row r="22" spans="1:5" ht="12">
      <c r="A22" s="42" t="s">
        <v>59</v>
      </c>
      <c r="D22" s="51">
        <v>0.3</v>
      </c>
      <c r="E22" s="33">
        <f>30%*D13</f>
        <v>7920</v>
      </c>
    </row>
    <row r="25" ht="12">
      <c r="G25" s="42">
        <v>4625</v>
      </c>
    </row>
    <row r="26" ht="12">
      <c r="G26" s="42">
        <v>378</v>
      </c>
    </row>
    <row r="27" ht="12">
      <c r="G27" s="42">
        <v>77</v>
      </c>
    </row>
    <row r="28" ht="12">
      <c r="G28" s="42">
        <v>210</v>
      </c>
    </row>
    <row r="29" ht="12">
      <c r="G29" s="42">
        <v>1518</v>
      </c>
    </row>
    <row r="30" ht="12">
      <c r="G30" s="42">
        <v>220</v>
      </c>
    </row>
    <row r="31" ht="12">
      <c r="G31" s="42">
        <v>210</v>
      </c>
    </row>
    <row r="32" ht="12">
      <c r="G32" s="42">
        <v>229</v>
      </c>
    </row>
    <row r="33" ht="12">
      <c r="G33" s="42">
        <v>306</v>
      </c>
    </row>
    <row r="34" ht="12">
      <c r="G34" s="42">
        <v>692</v>
      </c>
    </row>
    <row r="35" ht="12">
      <c r="G35" s="42">
        <v>532</v>
      </c>
    </row>
    <row r="36" ht="12">
      <c r="G36" s="42">
        <v>1289</v>
      </c>
    </row>
    <row r="37" ht="12">
      <c r="G37" s="42">
        <v>280</v>
      </c>
    </row>
    <row r="38" ht="12">
      <c r="G38" s="42">
        <v>6998</v>
      </c>
    </row>
    <row r="39" ht="12">
      <c r="G39" s="42">
        <v>245</v>
      </c>
    </row>
    <row r="41" ht="12">
      <c r="G41" s="42">
        <f>SUM(G25:G40)</f>
        <v>17809</v>
      </c>
    </row>
  </sheetData>
  <sheetProtection/>
  <mergeCells count="4">
    <mergeCell ref="M1:P1"/>
    <mergeCell ref="A3:M3"/>
    <mergeCell ref="C11:E11"/>
    <mergeCell ref="G11:H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00390625" style="42" customWidth="1"/>
    <col min="2" max="2" width="5.28125" style="42" bestFit="1" customWidth="1"/>
    <col min="3" max="3" width="6.28125" style="42" customWidth="1"/>
    <col min="4" max="4" width="9.57421875" style="42" bestFit="1" customWidth="1"/>
    <col min="5" max="5" width="13.8515625" style="42" customWidth="1"/>
    <col min="6" max="6" width="10.140625" style="42" bestFit="1" customWidth="1"/>
    <col min="7" max="7" width="9.7109375" style="42" bestFit="1" customWidth="1"/>
    <col min="8" max="8" width="12.421875" style="42" customWidth="1"/>
    <col min="9" max="9" width="11.7109375" style="42" customWidth="1"/>
    <col min="10" max="10" width="13.57421875" style="42" customWidth="1"/>
    <col min="11" max="11" width="13.28125" style="42" customWidth="1"/>
    <col min="12" max="13" width="11.00390625" style="42" bestFit="1" customWidth="1"/>
    <col min="14" max="14" width="13.421875" style="42" customWidth="1"/>
    <col min="15" max="15" width="11.00390625" style="42" customWidth="1"/>
    <col min="16" max="16" width="11.00390625" style="42" bestFit="1" customWidth="1"/>
    <col min="17" max="17" width="11.00390625" style="42" customWidth="1"/>
    <col min="18" max="18" width="10.421875" style="42" customWidth="1"/>
    <col min="19" max="19" width="10.7109375" style="42" customWidth="1"/>
    <col min="20" max="20" width="6.00390625" style="42" hidden="1" customWidth="1"/>
    <col min="21" max="16384" width="9.140625" style="42" customWidth="1"/>
  </cols>
  <sheetData>
    <row r="1" spans="1:16" s="20" customFormat="1" ht="84">
      <c r="A1" s="6" t="s">
        <v>3</v>
      </c>
      <c r="B1" s="6" t="s">
        <v>47</v>
      </c>
      <c r="C1" s="6" t="s">
        <v>28</v>
      </c>
      <c r="D1" s="6" t="s">
        <v>18</v>
      </c>
      <c r="E1" s="6" t="s">
        <v>2</v>
      </c>
      <c r="F1" s="6" t="s">
        <v>23</v>
      </c>
      <c r="G1" s="6" t="s">
        <v>4</v>
      </c>
      <c r="H1" s="6" t="s">
        <v>5</v>
      </c>
      <c r="I1" s="6" t="s">
        <v>37</v>
      </c>
      <c r="J1" s="6" t="s">
        <v>38</v>
      </c>
      <c r="K1" s="6" t="s">
        <v>17</v>
      </c>
      <c r="L1" s="6" t="s">
        <v>19</v>
      </c>
      <c r="M1" s="58" t="s">
        <v>41</v>
      </c>
      <c r="N1" s="59"/>
      <c r="O1" s="59"/>
      <c r="P1" s="60"/>
    </row>
    <row r="2" spans="1:16" s="20" customFormat="1" ht="31.5" customHeight="1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43">
        <v>10</v>
      </c>
      <c r="K2" s="6">
        <v>11</v>
      </c>
      <c r="L2" s="6">
        <v>12</v>
      </c>
      <c r="M2" s="21" t="s">
        <v>50</v>
      </c>
      <c r="N2" s="22" t="s">
        <v>51</v>
      </c>
      <c r="O2" s="22" t="s">
        <v>48</v>
      </c>
      <c r="P2" s="22" t="s">
        <v>49</v>
      </c>
    </row>
    <row r="3" spans="1:16" s="20" customFormat="1" ht="18.7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3"/>
      <c r="O3" s="23"/>
      <c r="P3" s="24"/>
    </row>
    <row r="4" spans="1:16" s="33" customFormat="1" ht="37.5" customHeight="1">
      <c r="A4" s="25" t="s">
        <v>43</v>
      </c>
      <c r="B4" s="26">
        <v>0.005</v>
      </c>
      <c r="C4" s="27">
        <v>120</v>
      </c>
      <c r="D4" s="28">
        <v>7200</v>
      </c>
      <c r="E4" s="49">
        <f>C4*D4</f>
        <v>864000</v>
      </c>
      <c r="F4" s="29">
        <v>1600</v>
      </c>
      <c r="G4" s="30">
        <v>500</v>
      </c>
      <c r="H4" s="49">
        <f>F4*G4</f>
        <v>800000</v>
      </c>
      <c r="I4" s="49">
        <f>H4*10/100</f>
        <v>80000</v>
      </c>
      <c r="J4" s="49">
        <f>H4-I4</f>
        <v>720000</v>
      </c>
      <c r="K4" s="49">
        <f>E4+J4</f>
        <v>1584000</v>
      </c>
      <c r="L4" s="49">
        <f>K4*5/100</f>
        <v>79200</v>
      </c>
      <c r="M4" s="31">
        <f>L4*0.5/100</f>
        <v>396</v>
      </c>
      <c r="N4" s="31">
        <f>5/100*M4</f>
        <v>19.8</v>
      </c>
      <c r="O4" s="44">
        <f>M4+N4</f>
        <v>415.8</v>
      </c>
      <c r="P4" s="32">
        <f>M4-(M4*10/100)+N4</f>
        <v>376.2</v>
      </c>
    </row>
    <row r="5" spans="1:16" s="33" customFormat="1" ht="37.5" customHeight="1">
      <c r="A5" s="25" t="s">
        <v>44</v>
      </c>
      <c r="B5" s="34">
        <v>0.01</v>
      </c>
      <c r="C5" s="27">
        <v>501</v>
      </c>
      <c r="D5" s="28">
        <v>5400</v>
      </c>
      <c r="E5" s="49">
        <f>C5*D5</f>
        <v>2705400</v>
      </c>
      <c r="F5" s="29">
        <v>1890</v>
      </c>
      <c r="G5" s="30">
        <v>500</v>
      </c>
      <c r="H5" s="49">
        <f>F5*G5</f>
        <v>945000</v>
      </c>
      <c r="I5" s="49">
        <f>H5*10/100</f>
        <v>94500</v>
      </c>
      <c r="J5" s="49">
        <f>H5-I5</f>
        <v>850500</v>
      </c>
      <c r="K5" s="49">
        <f>E5+J5</f>
        <v>3555900</v>
      </c>
      <c r="L5" s="49">
        <f>K5*5/100</f>
        <v>177795</v>
      </c>
      <c r="M5" s="31">
        <f>L5*1/100</f>
        <v>1777.95</v>
      </c>
      <c r="N5" s="31">
        <f>5/100*M5</f>
        <v>88.89750000000001</v>
      </c>
      <c r="O5" s="44">
        <f aca="true" t="shared" si="0" ref="O5:O10">M5+N5</f>
        <v>1866.8475</v>
      </c>
      <c r="P5" s="32">
        <f aca="true" t="shared" si="1" ref="P5:P10">M5-(M5*10/100)+N5</f>
        <v>1689.0525</v>
      </c>
    </row>
    <row r="6" spans="1:16" s="33" customFormat="1" ht="37.5" customHeight="1">
      <c r="A6" s="35" t="s">
        <v>39</v>
      </c>
      <c r="B6" s="36">
        <v>0.03</v>
      </c>
      <c r="C6" s="27">
        <v>21</v>
      </c>
      <c r="D6" s="28">
        <v>52560</v>
      </c>
      <c r="E6" s="49">
        <f>C6*D6</f>
        <v>1103760</v>
      </c>
      <c r="F6" s="29">
        <v>378</v>
      </c>
      <c r="G6" s="30">
        <v>500</v>
      </c>
      <c r="H6" s="49">
        <f>F6*G6</f>
        <v>189000</v>
      </c>
      <c r="I6" s="49">
        <f>H6*10/100</f>
        <v>18900</v>
      </c>
      <c r="J6" s="49">
        <f>H6-I6</f>
        <v>170100</v>
      </c>
      <c r="K6" s="49">
        <f>E6+J6</f>
        <v>1273860</v>
      </c>
      <c r="L6" s="49">
        <f>K6*5/100</f>
        <v>63693</v>
      </c>
      <c r="M6" s="31">
        <f>L6*3/100</f>
        <v>1910.79</v>
      </c>
      <c r="N6" s="31">
        <f>5/100*M6</f>
        <v>95.5395</v>
      </c>
      <c r="O6" s="44">
        <f t="shared" si="0"/>
        <v>2006.3295</v>
      </c>
      <c r="P6" s="32">
        <f t="shared" si="1"/>
        <v>1815.2505</v>
      </c>
    </row>
    <row r="7" spans="1:20" s="33" customFormat="1" ht="37.5" customHeight="1">
      <c r="A7" s="35" t="s">
        <v>45</v>
      </c>
      <c r="B7" s="37">
        <v>0.015</v>
      </c>
      <c r="C7" s="27">
        <v>292</v>
      </c>
      <c r="D7" s="28">
        <v>5000</v>
      </c>
      <c r="E7" s="49">
        <f>C7*D7</f>
        <v>1460000</v>
      </c>
      <c r="F7" s="29">
        <v>1800</v>
      </c>
      <c r="G7" s="30">
        <v>500</v>
      </c>
      <c r="H7" s="49">
        <f>F7*G7</f>
        <v>900000</v>
      </c>
      <c r="I7" s="49">
        <f>H7*10/100</f>
        <v>90000</v>
      </c>
      <c r="J7" s="49">
        <f>H7-I7</f>
        <v>810000</v>
      </c>
      <c r="K7" s="49">
        <f>E7+J7</f>
        <v>2270000</v>
      </c>
      <c r="L7" s="49">
        <f>K7*5/100</f>
        <v>113500</v>
      </c>
      <c r="M7" s="31">
        <f>L7*1.5/100</f>
        <v>1702.5</v>
      </c>
      <c r="N7" s="31">
        <f>5/100*M7</f>
        <v>85.125</v>
      </c>
      <c r="O7" s="44">
        <f t="shared" si="0"/>
        <v>1787.625</v>
      </c>
      <c r="P7" s="32">
        <f t="shared" si="1"/>
        <v>1617.375</v>
      </c>
      <c r="Q7" s="38"/>
      <c r="R7" s="38"/>
      <c r="S7" s="38"/>
      <c r="T7" s="38"/>
    </row>
    <row r="8" spans="1:20" s="33" customFormat="1" ht="37.5" customHeight="1">
      <c r="A8" s="35" t="s">
        <v>46</v>
      </c>
      <c r="B8" s="37">
        <v>0.002</v>
      </c>
      <c r="C8" s="27">
        <v>216.16</v>
      </c>
      <c r="D8" s="28">
        <v>3600</v>
      </c>
      <c r="E8" s="49">
        <f>C8*D8</f>
        <v>778176</v>
      </c>
      <c r="F8" s="29">
        <v>1200</v>
      </c>
      <c r="G8" s="30">
        <v>500</v>
      </c>
      <c r="H8" s="49">
        <f>F8*G8</f>
        <v>600000</v>
      </c>
      <c r="I8" s="49">
        <f>H8*10/100</f>
        <v>60000</v>
      </c>
      <c r="J8" s="49">
        <f>H8-I8</f>
        <v>540000</v>
      </c>
      <c r="K8" s="49">
        <f>E8+J8</f>
        <v>1318176</v>
      </c>
      <c r="L8" s="49">
        <f>K8*5/100</f>
        <v>65908.8</v>
      </c>
      <c r="M8" s="31">
        <f>T8*0.2/100</f>
        <v>77.81760000000001</v>
      </c>
      <c r="N8" s="31">
        <f>5/100*M8</f>
        <v>3.890880000000001</v>
      </c>
      <c r="O8" s="44">
        <f t="shared" si="0"/>
        <v>81.70848000000001</v>
      </c>
      <c r="P8" s="32">
        <f t="shared" si="1"/>
        <v>73.92672</v>
      </c>
      <c r="Q8" s="38"/>
      <c r="R8" s="38"/>
      <c r="S8" s="38"/>
      <c r="T8" s="38">
        <f>((E8*5)/100)</f>
        <v>38908.8</v>
      </c>
    </row>
    <row r="9" spans="1:19" s="33" customFormat="1" ht="18.75" customHeight="1">
      <c r="A9" s="45" t="s">
        <v>40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31"/>
      <c r="N9" s="31"/>
      <c r="O9" s="44"/>
      <c r="P9" s="32"/>
      <c r="Q9" s="46"/>
      <c r="R9" s="46"/>
      <c r="S9" s="46"/>
    </row>
    <row r="10" spans="1:16" s="33" customFormat="1" ht="31.5" customHeight="1">
      <c r="A10" s="39" t="s">
        <v>42</v>
      </c>
      <c r="B10" s="40"/>
      <c r="C10" s="52">
        <v>517548</v>
      </c>
      <c r="D10" s="53"/>
      <c r="E10" s="54"/>
      <c r="F10" s="39" t="s">
        <v>0</v>
      </c>
      <c r="G10" s="55">
        <f>C10*7.5/100</f>
        <v>38816.1</v>
      </c>
      <c r="H10" s="56"/>
      <c r="I10" s="39" t="s">
        <v>20</v>
      </c>
      <c r="J10" s="47">
        <f>C10*10/100</f>
        <v>51754.8</v>
      </c>
      <c r="K10" s="48"/>
      <c r="M10" s="31">
        <f>J10</f>
        <v>51754.8</v>
      </c>
      <c r="N10" s="31">
        <f>5/100*M10</f>
        <v>2587.7400000000002</v>
      </c>
      <c r="O10" s="44">
        <f t="shared" si="0"/>
        <v>54342.54</v>
      </c>
      <c r="P10" s="32">
        <f t="shared" si="1"/>
        <v>49167.060000000005</v>
      </c>
    </row>
    <row r="11" s="33" customFormat="1" ht="12"/>
    <row r="12" s="33" customFormat="1" ht="15">
      <c r="A12" s="41"/>
    </row>
    <row r="13" s="33" customFormat="1" ht="12"/>
    <row r="14" s="33" customFormat="1" ht="12"/>
    <row r="17" spans="4:6" ht="12">
      <c r="D17" s="33"/>
      <c r="E17" s="33"/>
      <c r="F17" s="33"/>
    </row>
  </sheetData>
  <sheetProtection/>
  <mergeCells count="4">
    <mergeCell ref="M1:P1"/>
    <mergeCell ref="A3:M3"/>
    <mergeCell ref="C10:E10"/>
    <mergeCell ref="G10:H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</dc:creator>
  <cp:keywords/>
  <dc:description/>
  <cp:lastModifiedBy>rajinder</cp:lastModifiedBy>
  <dcterms:created xsi:type="dcterms:W3CDTF">2013-09-24T01:58:21Z</dcterms:created>
  <dcterms:modified xsi:type="dcterms:W3CDTF">2013-11-30T11:54:15Z</dcterms:modified>
  <cp:category/>
  <cp:version/>
  <cp:contentType/>
  <cp:contentStatus/>
</cp:coreProperties>
</file>